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qdocs\"/>
    </mc:Choice>
  </mc:AlternateContent>
  <xr:revisionPtr revIDLastSave="0" documentId="8_{B4F13F76-29A6-435E-BB0C-240FDA9FD2B7}" xr6:coauthVersionLast="47" xr6:coauthVersionMax="47" xr10:uidLastSave="{00000000-0000-0000-0000-000000000000}"/>
  <bookViews>
    <workbookView xWindow="-108" yWindow="-108" windowWidth="46296" windowHeight="25416" xr2:uid="{6DF3AB8B-5518-4F67-868C-BBB877B92859}"/>
  </bookViews>
  <sheets>
    <sheet name="7-core" sheetId="1" r:id="rId1"/>
    <sheet name="2-core Daily" sheetId="2" r:id="rId2"/>
  </sheets>
  <definedNames>
    <definedName name="_xlnm.Print_Area" localSheetId="1">'2-core Daily'!$A$1:$N$36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Q9" i="1"/>
  <c r="Q10" i="1"/>
  <c r="Q11" i="1"/>
  <c r="Q12" i="1"/>
  <c r="Q13" i="1"/>
  <c r="Q14" i="1"/>
  <c r="Q8" i="1"/>
  <c r="Q17" i="1"/>
  <c r="Q9" i="2"/>
  <c r="Q10" i="2"/>
  <c r="Q11" i="2"/>
  <c r="Q12" i="2"/>
  <c r="Q13" i="2"/>
  <c r="Q14" i="2"/>
  <c r="Q15" i="2"/>
  <c r="Q16" i="2"/>
  <c r="Q17" i="2"/>
  <c r="Q8" i="2"/>
  <c r="G35" i="2"/>
  <c r="G34" i="2"/>
  <c r="G33" i="2"/>
  <c r="G32" i="2"/>
  <c r="J18" i="2"/>
  <c r="I18" i="2"/>
  <c r="O17" i="2"/>
  <c r="O16" i="2"/>
  <c r="O15" i="2"/>
  <c r="O14" i="2"/>
  <c r="O13" i="2"/>
  <c r="O12" i="2"/>
  <c r="O11" i="2"/>
  <c r="O10" i="2"/>
  <c r="O9" i="2"/>
  <c r="O8" i="2"/>
  <c r="N17" i="2"/>
  <c r="N16" i="2"/>
  <c r="N15" i="2"/>
  <c r="N14" i="2"/>
  <c r="N13" i="2"/>
  <c r="N12" i="2"/>
  <c r="N11" i="2"/>
  <c r="N10" i="2"/>
  <c r="N9" i="2"/>
  <c r="N8" i="2"/>
  <c r="K16" i="2"/>
  <c r="K17" i="2"/>
  <c r="L16" i="2"/>
  <c r="K15" i="2"/>
  <c r="K14" i="2"/>
  <c r="K13" i="2"/>
  <c r="K12" i="2"/>
  <c r="K11" i="2"/>
  <c r="K10" i="2"/>
  <c r="K9" i="2"/>
  <c r="K8" i="2"/>
  <c r="L14" i="2"/>
  <c r="L12" i="2"/>
  <c r="L10" i="2"/>
  <c r="L8" i="2"/>
  <c r="G15" i="1"/>
  <c r="F15" i="1"/>
  <c r="L14" i="1"/>
  <c r="K14" i="1"/>
  <c r="H14" i="1"/>
  <c r="B14" i="1"/>
  <c r="L13" i="1"/>
  <c r="K13" i="1"/>
  <c r="H13" i="1"/>
  <c r="B13" i="1"/>
  <c r="L12" i="1"/>
  <c r="K12" i="1"/>
  <c r="H12" i="1"/>
  <c r="B12" i="1"/>
  <c r="L11" i="1"/>
  <c r="K11" i="1"/>
  <c r="H11" i="1"/>
  <c r="B11" i="1"/>
  <c r="L10" i="1"/>
  <c r="K10" i="1"/>
  <c r="H10" i="1"/>
  <c r="B10" i="1"/>
  <c r="L9" i="1"/>
  <c r="K9" i="1"/>
  <c r="H9" i="1"/>
  <c r="B9" i="1"/>
  <c r="L8" i="1"/>
  <c r="K8" i="1"/>
  <c r="H8" i="1"/>
  <c r="B8" i="1"/>
  <c r="J9" i="1" l="1" a="1"/>
  <c r="J9" i="1" s="1"/>
  <c r="P15" i="2"/>
  <c r="B15" i="2" s="1"/>
  <c r="B33" i="2" s="1"/>
  <c r="L18" i="2"/>
  <c r="P14" i="2"/>
  <c r="B14" i="2" s="1"/>
  <c r="B32" i="2" s="1"/>
  <c r="P17" i="2"/>
  <c r="B17" i="2" s="1"/>
  <c r="B35" i="2" s="1"/>
  <c r="P11" i="2"/>
  <c r="B11" i="2" s="1"/>
  <c r="B29" i="2" s="1"/>
  <c r="P10" i="2"/>
  <c r="B10" i="2" s="1"/>
  <c r="B28" i="2" s="1"/>
  <c r="P16" i="2"/>
  <c r="B16" i="2" s="1"/>
  <c r="B34" i="2" s="1"/>
  <c r="P13" i="2"/>
  <c r="B13" i="2" s="1"/>
  <c r="B31" i="2" s="1"/>
  <c r="P12" i="2"/>
  <c r="B12" i="2" s="1"/>
  <c r="B30" i="2" s="1"/>
  <c r="P9" i="2"/>
  <c r="B9" i="2" s="1"/>
  <c r="B27" i="2" s="1"/>
  <c r="P8" i="2"/>
  <c r="B8" i="2" s="1"/>
  <c r="B26" i="2" s="1"/>
  <c r="K18" i="2"/>
  <c r="J8" i="1" a="1"/>
  <c r="J8" i="1" s="1"/>
  <c r="I10" i="1" s="1"/>
  <c r="H15" i="1"/>
  <c r="Q15" i="1" s="1"/>
  <c r="I12" i="1" l="1"/>
  <c r="I9" i="1"/>
  <c r="I14" i="1"/>
  <c r="I11" i="1"/>
  <c r="I8" i="1"/>
  <c r="I13" i="1"/>
  <c r="I15" i="1" l="1"/>
  <c r="H16" i="1" s="1"/>
  <c r="Q1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<sst xmlns="http://schemas.openxmlformats.org/spreadsheetml/2006/main" count="68" uniqueCount="45">
  <si>
    <t>Correlation - Nuclear Gauge to Core Density 7-Cores</t>
  </si>
  <si>
    <t>Contract Number</t>
  </si>
  <si>
    <t>Pay item#</t>
  </si>
  <si>
    <r>
      <rPr>
        <sz val="8"/>
        <rFont val="Arial"/>
        <family val="2"/>
      </rPr>
      <t>Mode
Thin Layer</t>
    </r>
  </si>
  <si>
    <t>Direct</t>
  </si>
  <si>
    <t>Gauge Model</t>
  </si>
  <si>
    <t>Gauge#</t>
  </si>
  <si>
    <t>Road Section</t>
  </si>
  <si>
    <t>Mix ID</t>
  </si>
  <si>
    <t>HMA Class</t>
  </si>
  <si>
    <t>Design Thickness</t>
  </si>
  <si>
    <t>Lab# &amp; Date</t>
  </si>
  <si>
    <t>Project Engineer</t>
  </si>
  <si>
    <t>Sample Number</t>
  </si>
  <si>
    <t>Station 
(or latitude)</t>
  </si>
  <si>
    <t>Offset 
(or longitude)</t>
  </si>
  <si>
    <t>Core Density #/ft³</t>
  </si>
  <si>
    <t>Difference</t>
  </si>
  <si>
    <t>Density Ratio</t>
  </si>
  <si>
    <t>Exclude</t>
  </si>
  <si>
    <t>Rice:</t>
  </si>
  <si>
    <t>Average</t>
  </si>
  <si>
    <t>Density Ratio=</t>
  </si>
  <si>
    <t>Core Density</t>
  </si>
  <si>
    <t>Correction Factor=</t>
  </si>
  <si>
    <t>Nuclear Gauge Density</t>
  </si>
  <si>
    <t>Comments</t>
  </si>
  <si>
    <t>Date of Paving</t>
  </si>
  <si>
    <t>Date of Coring</t>
  </si>
  <si>
    <t>Date Project Office Notified of Gauge Correlation Factor</t>
  </si>
  <si>
    <t>Existing Correlation</t>
  </si>
  <si>
    <t>Rice</t>
  </si>
  <si>
    <t>Nuclear Gauge Density #/ft³ 
(Ave of 2 tests)</t>
  </si>
  <si>
    <t>Nuclear Gauge Density #/ft³ 
(Ave of 5 tests)</t>
  </si>
  <si>
    <t>Paving Date</t>
  </si>
  <si>
    <t>Core Date</t>
  </si>
  <si>
    <t>Correlation - Nuclear Gauge to Core Density 2-Daily Cores</t>
  </si>
  <si>
    <t>Core Type</t>
  </si>
  <si>
    <t>Reviewed by:</t>
  </si>
  <si>
    <t>Date:</t>
  </si>
  <si>
    <t>Lab#s (1,2)</t>
  </si>
  <si>
    <t>Rut, etc</t>
  </si>
  <si>
    <r>
      <t xml:space="preserve">Core Thickness </t>
    </r>
    <r>
      <rPr>
        <sz val="6"/>
        <rFont val="Arial"/>
        <family val="2"/>
      </rPr>
      <t>(req is&gt;90% of Design)</t>
    </r>
  </si>
  <si>
    <t>Core Thickness (&gt;90%)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</si>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</sst>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\ &quot;-IN&quot;"/>
    <numFmt numFmtId="165" formatCode="0."/>
    <numFmt numFmtId="166" formatCode="0.000"/>
    <numFmt numFmtId="167" formatCode="0.0%"/>
    <numFmt numFmtId="168" formatCode="0.0\ &quot;LBS/FT^2&quot;"/>
    <numFmt numFmtId="169" formatCode="0.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7"/>
      <color rgb="FF000000"/>
      <name val="Times New Roman"/>
      <family val="1"/>
    </font>
    <font>
      <sz val="6"/>
      <name val="Arial"/>
      <family val="2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3" fillId="0" borderId="10" xfId="0" applyFont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5" fontId="6" fillId="2" borderId="14" xfId="0" applyNumberFormat="1" applyFont="1" applyFill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66" fontId="4" fillId="2" borderId="14" xfId="0" applyNumberFormat="1" applyFont="1" applyFill="1" applyBorder="1" applyAlignment="1">
      <alignment horizontal="left" vertical="center" wrapText="1"/>
    </xf>
    <xf numFmtId="167" fontId="4" fillId="0" borderId="0" xfId="1" applyNumberFormat="1" applyFont="1" applyAlignment="1">
      <alignment horizontal="left" vertical="top"/>
    </xf>
    <xf numFmtId="0" fontId="4" fillId="0" borderId="15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166" fontId="4" fillId="2" borderId="15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165" fontId="6" fillId="2" borderId="15" xfId="0" applyNumberFormat="1" applyFont="1" applyFill="1" applyBorder="1" applyAlignment="1">
      <alignment horizontal="center" vertical="center" wrapText="1" shrinkToFit="1"/>
    </xf>
    <xf numFmtId="167" fontId="10" fillId="0" borderId="0" xfId="0" applyNumberFormat="1" applyFont="1" applyAlignment="1">
      <alignment horizontal="left" vertical="top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9" fontId="4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8" fontId="11" fillId="2" borderId="10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vertical="top"/>
    </xf>
    <xf numFmtId="165" fontId="6" fillId="0" borderId="4" xfId="0" applyNumberFormat="1" applyFont="1" applyBorder="1" applyAlignment="1">
      <alignment vertical="top" wrapText="1" shrinkToFit="1"/>
    </xf>
    <xf numFmtId="0" fontId="4" fillId="3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/>
    </xf>
    <xf numFmtId="164" fontId="4" fillId="0" borderId="14" xfId="0" applyNumberFormat="1" applyFont="1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vertical="center" shrinkToFit="1"/>
    </xf>
    <xf numFmtId="0" fontId="7" fillId="2" borderId="29" xfId="0" applyFont="1" applyFill="1" applyBorder="1" applyAlignment="1">
      <alignment vertical="center" shrinkToFit="1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165" fontId="6" fillId="2" borderId="22" xfId="0" applyNumberFormat="1" applyFont="1" applyFill="1" applyBorder="1" applyAlignment="1">
      <alignment horizontal="left" vertical="top" shrinkToFit="1"/>
    </xf>
    <xf numFmtId="165" fontId="6" fillId="2" borderId="23" xfId="0" applyNumberFormat="1" applyFont="1" applyFill="1" applyBorder="1" applyAlignment="1">
      <alignment horizontal="left" vertical="top" shrinkToFit="1"/>
    </xf>
    <xf numFmtId="165" fontId="6" fillId="2" borderId="27" xfId="0" applyNumberFormat="1" applyFont="1" applyFill="1" applyBorder="1" applyAlignment="1">
      <alignment horizontal="left" vertical="top" shrinkToFit="1"/>
    </xf>
    <xf numFmtId="165" fontId="6" fillId="0" borderId="16" xfId="0" applyNumberFormat="1" applyFont="1" applyBorder="1" applyAlignment="1">
      <alignment horizontal="center" vertical="top" wrapText="1" shrinkToFit="1"/>
    </xf>
    <xf numFmtId="165" fontId="6" fillId="0" borderId="17" xfId="0" applyNumberFormat="1" applyFont="1" applyBorder="1" applyAlignment="1">
      <alignment horizontal="center" vertical="top" wrapText="1" shrinkToFit="1"/>
    </xf>
    <xf numFmtId="165" fontId="6" fillId="0" borderId="30" xfId="0" applyNumberFormat="1" applyFont="1" applyBorder="1" applyAlignment="1">
      <alignment horizontal="center" vertical="top" wrapText="1" shrinkToFit="1"/>
    </xf>
    <xf numFmtId="165" fontId="6" fillId="0" borderId="31" xfId="0" applyNumberFormat="1" applyFont="1" applyBorder="1" applyAlignment="1">
      <alignment horizontal="center" vertical="top" wrapText="1" shrinkToFit="1"/>
    </xf>
    <xf numFmtId="165" fontId="6" fillId="0" borderId="0" xfId="0" applyNumberFormat="1" applyFont="1" applyAlignment="1">
      <alignment horizontal="center" vertical="top" wrapText="1" shrinkToFit="1"/>
    </xf>
    <xf numFmtId="165" fontId="6" fillId="0" borderId="32" xfId="0" applyNumberFormat="1" applyFont="1" applyBorder="1" applyAlignment="1">
      <alignment horizontal="center" vertical="top" wrapText="1" shrinkToFit="1"/>
    </xf>
    <xf numFmtId="165" fontId="6" fillId="0" borderId="22" xfId="0" applyNumberFormat="1" applyFont="1" applyBorder="1" applyAlignment="1">
      <alignment horizontal="center" vertical="top" wrapText="1" shrinkToFit="1"/>
    </xf>
    <xf numFmtId="165" fontId="6" fillId="0" borderId="23" xfId="0" applyNumberFormat="1" applyFont="1" applyBorder="1" applyAlignment="1">
      <alignment horizontal="center" vertical="top" wrapText="1" shrinkToFit="1"/>
    </xf>
    <xf numFmtId="165" fontId="6" fillId="0" borderId="33" xfId="0" applyNumberFormat="1" applyFont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165" fontId="6" fillId="2" borderId="16" xfId="0" applyNumberFormat="1" applyFont="1" applyFill="1" applyBorder="1" applyAlignment="1">
      <alignment horizontal="right" vertical="center" shrinkToFit="1"/>
    </xf>
    <xf numFmtId="165" fontId="6" fillId="2" borderId="17" xfId="0" applyNumberFormat="1" applyFont="1" applyFill="1" applyBorder="1" applyAlignment="1">
      <alignment horizontal="right" vertical="center" shrinkToFit="1"/>
    </xf>
    <xf numFmtId="165" fontId="6" fillId="2" borderId="22" xfId="0" applyNumberFormat="1" applyFont="1" applyFill="1" applyBorder="1" applyAlignment="1">
      <alignment horizontal="right" vertical="center" shrinkToFit="1"/>
    </xf>
    <xf numFmtId="165" fontId="6" fillId="2" borderId="23" xfId="0" applyNumberFormat="1" applyFont="1" applyFill="1" applyBorder="1" applyAlignment="1">
      <alignment horizontal="right" vertical="center" shrinkToFit="1"/>
    </xf>
    <xf numFmtId="2" fontId="4" fillId="2" borderId="18" xfId="0" applyNumberFormat="1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right" vertical="center" wrapText="1"/>
    </xf>
    <xf numFmtId="0" fontId="9" fillId="2" borderId="20" xfId="0" applyFont="1" applyFill="1" applyBorder="1" applyAlignment="1">
      <alignment horizontal="right" vertical="center" wrapText="1"/>
    </xf>
    <xf numFmtId="0" fontId="9" fillId="2" borderId="24" xfId="0" applyFont="1" applyFill="1" applyBorder="1" applyAlignment="1">
      <alignment horizontal="right" vertical="center" wrapText="1"/>
    </xf>
    <xf numFmtId="0" fontId="9" fillId="2" borderId="25" xfId="0" applyFont="1" applyFill="1" applyBorder="1" applyAlignment="1">
      <alignment horizontal="right" vertical="center" wrapText="1"/>
    </xf>
    <xf numFmtId="2" fontId="9" fillId="2" borderId="20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2" fontId="9" fillId="2" borderId="25" xfId="0" applyNumberFormat="1" applyFont="1" applyFill="1" applyBorder="1" applyAlignment="1">
      <alignment horizontal="center" vertical="center" wrapText="1"/>
    </xf>
    <xf numFmtId="2" fontId="9" fillId="2" borderId="26" xfId="0" applyNumberFormat="1" applyFont="1" applyFill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2" borderId="17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4" fillId="2" borderId="28" xfId="0" applyFont="1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top"/>
    </xf>
    <xf numFmtId="0" fontId="4" fillId="2" borderId="29" xfId="0" applyFont="1" applyFill="1" applyBorder="1" applyAlignment="1">
      <alignment horizontal="center" vertical="top"/>
    </xf>
    <xf numFmtId="0" fontId="4" fillId="3" borderId="28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 wrapText="1"/>
    </xf>
    <xf numFmtId="2" fontId="6" fillId="3" borderId="15" xfId="0" applyNumberFormat="1" applyFont="1" applyFill="1" applyBorder="1" applyAlignment="1">
      <alignment horizontal="center" vertical="center" wrapText="1" shrinkToFit="1"/>
    </xf>
    <xf numFmtId="2" fontId="6" fillId="3" borderId="38" xfId="0" applyNumberFormat="1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5" fontId="6" fillId="0" borderId="28" xfId="0" applyNumberFormat="1" applyFont="1" applyBorder="1" applyAlignment="1">
      <alignment horizontal="center" vertical="top" wrapText="1" shrinkToFit="1"/>
    </xf>
    <xf numFmtId="165" fontId="6" fillId="0" borderId="34" xfId="0" applyNumberFormat="1" applyFont="1" applyBorder="1" applyAlignment="1">
      <alignment horizontal="center" vertical="top" wrapText="1" shrinkToFit="1"/>
    </xf>
    <xf numFmtId="165" fontId="6" fillId="0" borderId="29" xfId="0" applyNumberFormat="1" applyFont="1" applyBorder="1" applyAlignment="1">
      <alignment horizontal="center" vertical="top" wrapText="1" shrinkToFi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2" fontId="4" fillId="2" borderId="15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169" fontId="6" fillId="3" borderId="15" xfId="0" applyNumberFormat="1" applyFont="1" applyFill="1" applyBorder="1" applyAlignment="1">
      <alignment horizontal="center" vertical="center" wrapText="1" shrinkToFit="1"/>
    </xf>
    <xf numFmtId="169" fontId="6" fillId="3" borderId="13" xfId="0" applyNumberFormat="1" applyFont="1" applyFill="1" applyBorder="1" applyAlignment="1">
      <alignment horizontal="center" vertical="center" wrapText="1" shrinkToFit="1"/>
    </xf>
    <xf numFmtId="169" fontId="6" fillId="3" borderId="38" xfId="0" applyNumberFormat="1" applyFont="1" applyFill="1" applyBorder="1" applyAlignment="1">
      <alignment horizontal="center" vertical="center" wrapText="1" shrinkToFit="1"/>
    </xf>
    <xf numFmtId="14" fontId="6" fillId="3" borderId="15" xfId="0" applyNumberFormat="1" applyFont="1" applyFill="1" applyBorder="1" applyAlignment="1">
      <alignment horizontal="center" vertical="center" wrapText="1" shrinkToFit="1"/>
    </xf>
    <xf numFmtId="14" fontId="6" fillId="3" borderId="38" xfId="0" applyNumberFormat="1" applyFont="1" applyFill="1" applyBorder="1" applyAlignment="1">
      <alignment horizontal="center" vertical="center" wrapText="1" shrinkToFit="1"/>
    </xf>
    <xf numFmtId="14" fontId="6" fillId="3" borderId="13" xfId="0" applyNumberFormat="1" applyFont="1" applyFill="1" applyBorder="1" applyAlignment="1">
      <alignment horizontal="center" vertical="center" wrapText="1" shrinkToFit="1"/>
    </xf>
    <xf numFmtId="2" fontId="6" fillId="3" borderId="13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/>
    </xf>
    <xf numFmtId="164" fontId="13" fillId="2" borderId="14" xfId="0" applyNumberFormat="1" applyFont="1" applyFill="1" applyBorder="1" applyAlignment="1">
      <alignment horizontal="center" vertical="center" wrapText="1"/>
    </xf>
    <xf numFmtId="168" fontId="4" fillId="2" borderId="10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right" vertical="center"/>
    </xf>
    <xf numFmtId="0" fontId="7" fillId="2" borderId="34" xfId="0" applyFont="1" applyFill="1" applyBorder="1" applyAlignment="1">
      <alignment horizontal="left" vertical="center" shrinkToFi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0" borderId="17" xfId="0" applyFont="1" applyBorder="1" applyAlignment="1">
      <alignment horizontal="right"/>
    </xf>
    <xf numFmtId="0" fontId="4" fillId="0" borderId="0" xfId="0" applyFont="1" applyAlignment="1">
      <alignment horizontal="right"/>
    </xf>
  </cellXfs>
  <cellStyles count="2">
    <cellStyle name="Normal" xfId="0" builtinId="0"/>
    <cellStyle name="Percent" xfId="1" builtinId="5"/>
  </cellStyles>
  <dxfs count="128">
    <dxf>
      <font>
        <color theme="0" tint="-4.9989318521683403E-2"/>
      </font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ill>
        <patternFill>
          <bgColor theme="9" tint="0.7999816888943144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ont>
        <color theme="0"/>
      </font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ont>
        <color theme="0"/>
      </font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ont>
        <color theme="0"/>
      </font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ont>
        <color theme="0"/>
      </font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 tint="-4.9989318521683403E-2"/>
      </font>
    </dxf>
    <dxf>
      <font>
        <color theme="0"/>
      </font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22860</xdr:rowOff>
        </xdr:from>
        <xdr:to>
          <xdr:col>7</xdr:col>
          <xdr:colOff>175260</xdr:colOff>
          <xdr:row>2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15240</xdr:rowOff>
        </xdr:from>
        <xdr:to>
          <xdr:col>8</xdr:col>
          <xdr:colOff>228600</xdr:colOff>
          <xdr:row>1</xdr:row>
          <xdr:rowOff>236220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536934</xdr:colOff>
      <xdr:row>23</xdr:row>
      <xdr:rowOff>448339</xdr:rowOff>
    </xdr:from>
    <xdr:ext cx="1234440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F0052E47-0C21-4D0E-A27A-F51CA93ACBBC}"/>
            </a:ext>
          </a:extLst>
        </xdr:cNvPr>
        <xdr:cNvSpPr/>
      </xdr:nvSpPr>
      <xdr:spPr>
        <a:xfrm>
          <a:off x="1466574" y="4669819"/>
          <a:ext cx="1234440" cy="0"/>
        </a:xfrm>
        <a:custGeom>
          <a:avLst/>
          <a:gdLst/>
          <a:ahLst/>
          <a:cxnLst/>
          <a:rect l="0" t="0" r="0" b="0"/>
          <a:pathLst>
            <a:path w="1234440">
              <a:moveTo>
                <a:pt x="0" y="0"/>
              </a:moveTo>
              <a:lnTo>
                <a:pt x="123444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5</xdr:col>
      <xdr:colOff>267362</xdr:colOff>
      <xdr:row>23</xdr:row>
      <xdr:rowOff>1396101</xdr:rowOff>
    </xdr:from>
    <xdr:ext cx="1234440" cy="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04C4D67C-8F08-403E-8D51-3AB21E373B9B}"/>
            </a:ext>
          </a:extLst>
        </xdr:cNvPr>
        <xdr:cNvSpPr/>
      </xdr:nvSpPr>
      <xdr:spPr>
        <a:xfrm>
          <a:off x="1197002" y="4672701"/>
          <a:ext cx="1234440" cy="0"/>
        </a:xfrm>
        <a:custGeom>
          <a:avLst/>
          <a:gdLst/>
          <a:ahLst/>
          <a:cxnLst/>
          <a:rect l="0" t="0" r="0" b="0"/>
          <a:pathLst>
            <a:path w="1234440">
              <a:moveTo>
                <a:pt x="0" y="0"/>
              </a:moveTo>
              <a:lnTo>
                <a:pt x="123444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518160</xdr:colOff>
          <xdr:row>0</xdr:row>
          <xdr:rowOff>190500</xdr:rowOff>
        </xdr:from>
        <xdr:to>
          <xdr:col>10</xdr:col>
          <xdr:colOff>99060</xdr:colOff>
          <xdr:row>1</xdr:row>
          <xdr:rowOff>243840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518160</xdr:colOff>
          <xdr:row>1</xdr:row>
          <xdr:rowOff>15240</xdr:rowOff>
        </xdr:from>
        <xdr:to>
          <xdr:col>11</xdr:col>
          <xdr:colOff>228600</xdr:colOff>
          <xdr:row>1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7522-57F0-4FB5-B0CE-63DECF649886}">
  <dimension ref="B1:Q34"/>
  <sheetViews>
    <sheetView tabSelected="1" view="pageBreakPreview" zoomScale="115" zoomScaleNormal="100" zoomScaleSheetLayoutView="115" workbookViewId="0">
      <selection activeCell="G26" sqref="G26:I34"/>
    </sheetView>
  </sheetViews>
  <sheetFormatPr defaultRowHeight="14.4" x14ac:dyDescent="0.3"/>
  <cols>
    <col min="1" max="1" width="3.77734375" style="2" customWidth="1"/>
    <col min="2" max="9" width="9.77734375" style="2" customWidth="1"/>
    <col min="10" max="12" width="8.88671875" style="2" hidden="1" customWidth="1"/>
    <col min="13" max="13" width="3.77734375" style="2" hidden="1" customWidth="1"/>
    <col min="14" max="17" width="0" style="2" hidden="1" customWidth="1"/>
    <col min="18" max="16384" width="8.88671875" style="2"/>
  </cols>
  <sheetData>
    <row r="1" spans="2:17" ht="15.6" x14ac:dyDescent="0.3">
      <c r="B1" s="91" t="s">
        <v>0</v>
      </c>
      <c r="C1" s="91"/>
      <c r="D1" s="92"/>
      <c r="E1" s="92"/>
      <c r="F1" s="92"/>
      <c r="G1" s="91"/>
      <c r="H1" s="91"/>
      <c r="I1" s="91"/>
      <c r="J1" s="1"/>
      <c r="K1" s="1"/>
      <c r="L1" s="1"/>
    </row>
    <row r="2" spans="2:17" ht="20.399999999999999" x14ac:dyDescent="0.3">
      <c r="B2" s="93" t="s">
        <v>1</v>
      </c>
      <c r="C2" s="94"/>
      <c r="D2" s="3" t="s">
        <v>2</v>
      </c>
      <c r="E2" s="95"/>
      <c r="F2" s="95"/>
      <c r="G2" s="4" t="s">
        <v>3</v>
      </c>
      <c r="H2" s="23" t="s">
        <v>4</v>
      </c>
      <c r="I2" s="5"/>
      <c r="J2" s="6"/>
      <c r="K2" s="6"/>
      <c r="L2" s="6"/>
    </row>
    <row r="3" spans="2:17" x14ac:dyDescent="0.3">
      <c r="B3" s="96"/>
      <c r="C3" s="97"/>
      <c r="D3" s="7" t="s">
        <v>5</v>
      </c>
      <c r="E3" s="98"/>
      <c r="F3" s="99"/>
      <c r="G3" s="3" t="s">
        <v>6</v>
      </c>
      <c r="H3" s="100"/>
      <c r="I3" s="101"/>
      <c r="J3" s="8"/>
      <c r="K3" s="8"/>
      <c r="L3" s="8"/>
    </row>
    <row r="4" spans="2:17" x14ac:dyDescent="0.3">
      <c r="B4" s="9" t="s">
        <v>7</v>
      </c>
      <c r="C4" s="85"/>
      <c r="D4" s="85"/>
      <c r="E4" s="85"/>
      <c r="F4" s="85"/>
      <c r="G4" s="86"/>
      <c r="H4" s="85"/>
      <c r="I4" s="87"/>
      <c r="J4" s="8"/>
      <c r="K4" s="8"/>
      <c r="L4" s="8"/>
    </row>
    <row r="5" spans="2:17" ht="20.399999999999999" x14ac:dyDescent="0.3">
      <c r="B5" s="88" t="s">
        <v>8</v>
      </c>
      <c r="C5" s="88"/>
      <c r="D5" s="10" t="s">
        <v>9</v>
      </c>
      <c r="E5" s="10" t="s">
        <v>10</v>
      </c>
      <c r="F5" s="88" t="s">
        <v>11</v>
      </c>
      <c r="G5" s="88"/>
      <c r="H5" s="88" t="s">
        <v>12</v>
      </c>
      <c r="I5" s="88"/>
      <c r="J5" s="8"/>
      <c r="K5" s="8"/>
      <c r="L5" s="8"/>
    </row>
    <row r="6" spans="2:17" x14ac:dyDescent="0.2">
      <c r="B6" s="162"/>
      <c r="C6" s="163"/>
      <c r="D6" s="164"/>
      <c r="E6" s="165">
        <v>4</v>
      </c>
      <c r="F6" s="162"/>
      <c r="G6" s="163"/>
      <c r="H6" s="162"/>
      <c r="I6" s="163"/>
      <c r="J6" s="8"/>
      <c r="K6" s="8"/>
      <c r="L6" s="8"/>
    </row>
    <row r="7" spans="2:17" ht="51" x14ac:dyDescent="0.3">
      <c r="B7" s="21" t="s">
        <v>13</v>
      </c>
      <c r="C7" s="22" t="s">
        <v>14</v>
      </c>
      <c r="D7" s="22" t="s">
        <v>15</v>
      </c>
      <c r="E7" s="22" t="s">
        <v>43</v>
      </c>
      <c r="F7" s="22" t="s">
        <v>33</v>
      </c>
      <c r="G7" s="22" t="s">
        <v>16</v>
      </c>
      <c r="H7" s="22" t="s">
        <v>17</v>
      </c>
      <c r="I7" s="22" t="s">
        <v>18</v>
      </c>
      <c r="J7" s="8" t="s">
        <v>19</v>
      </c>
      <c r="K7" s="8"/>
      <c r="L7" s="8"/>
    </row>
    <row r="8" spans="2:17" x14ac:dyDescent="0.3">
      <c r="B8" s="13">
        <f>IF(M8&gt;=0.03,"1.0 Invalid Retest",1)</f>
        <v>1</v>
      </c>
      <c r="C8" s="14"/>
      <c r="D8" s="14"/>
      <c r="E8" s="40">
        <v>4</v>
      </c>
      <c r="F8" s="14"/>
      <c r="G8" s="14"/>
      <c r="H8" s="15">
        <f>IFERROR(IF(F8="",0,G8-F8),0)</f>
        <v>0</v>
      </c>
      <c r="I8" s="16">
        <f t="shared" ref="I8:I13" si="0">IF(H8=$J$8,0,IF(H8=$J$9,0,IFERROR(IF(MROUND(G8/F8,0.001)&lt;0.97,0.97,IF(MROUND(G8/F8,0.001)&gt;1.03,1.03,MROUND(G8/F8,0.001))),"")))</f>
        <v>0</v>
      </c>
      <c r="J8" s="8" cm="1">
        <f t="array" ref="J8">INDEX(H8:H14, MATCH(MAX(ABS(H8:H14)), ABS(H8:H14), 0))</f>
        <v>0</v>
      </c>
      <c r="K8" s="17">
        <f>F8/$C$15</f>
        <v>0</v>
      </c>
      <c r="L8" s="17">
        <f>G8/$C$15</f>
        <v>0</v>
      </c>
      <c r="Q8" t="str">
        <f>IF(E8="","",IF(E8=0,"",IF(E8&lt;$E$6*0.9,"Fail","")))</f>
        <v/>
      </c>
    </row>
    <row r="9" spans="2:17" x14ac:dyDescent="0.3">
      <c r="B9" s="13">
        <f>IF(M9&gt;=0.03,"2.0 Invalid Retest",2)</f>
        <v>2</v>
      </c>
      <c r="C9" s="14"/>
      <c r="D9" s="14"/>
      <c r="E9" s="40"/>
      <c r="F9" s="14"/>
      <c r="G9" s="14"/>
      <c r="H9" s="15">
        <f t="shared" ref="H9:H14" si="1">IFERROR(IF(F9="",0,G9-F9),0)</f>
        <v>0</v>
      </c>
      <c r="I9" s="16">
        <f t="shared" si="0"/>
        <v>0</v>
      </c>
      <c r="J9" s="8" cm="1">
        <f t="array" ref="J9">INDEX(H8:H14, MATCH(LARGE(ABS(H8:H14), 2), ABS(H8:H14), 0))</f>
        <v>0</v>
      </c>
      <c r="K9" s="17">
        <f t="shared" ref="K9:L14" si="2">F9/$C$15</f>
        <v>0</v>
      </c>
      <c r="L9" s="17">
        <f t="shared" si="2"/>
        <v>0</v>
      </c>
      <c r="Q9" t="str">
        <f>IF(E9="","",IF(E9=0,"",IF(E9&lt;$E$6*0.9,"Fail","")))</f>
        <v/>
      </c>
    </row>
    <row r="10" spans="2:17" x14ac:dyDescent="0.3">
      <c r="B10" s="13">
        <f>IF(M10&gt;=0.03,"3.0 Invalid Retest",3)</f>
        <v>3</v>
      </c>
      <c r="C10" s="14"/>
      <c r="D10" s="14"/>
      <c r="E10" s="40"/>
      <c r="F10" s="14"/>
      <c r="G10" s="14"/>
      <c r="H10" s="15">
        <f t="shared" si="1"/>
        <v>0</v>
      </c>
      <c r="I10" s="16">
        <f t="shared" si="0"/>
        <v>0</v>
      </c>
      <c r="J10" s="8"/>
      <c r="K10" s="17">
        <f t="shared" si="2"/>
        <v>0</v>
      </c>
      <c r="L10" s="17">
        <f t="shared" si="2"/>
        <v>0</v>
      </c>
      <c r="Q10" t="str">
        <f>IF(E10="","",IF(E10=0,"",IF(E10&lt;$E$6*0.9,"Fail","")))</f>
        <v/>
      </c>
    </row>
    <row r="11" spans="2:17" x14ac:dyDescent="0.3">
      <c r="B11" s="13">
        <f>IF(M11&gt;=0.03,"4.0 Invalid Retest",4)</f>
        <v>4</v>
      </c>
      <c r="C11" s="14"/>
      <c r="D11" s="14"/>
      <c r="E11" s="40"/>
      <c r="F11" s="14"/>
      <c r="G11" s="14"/>
      <c r="H11" s="15">
        <f t="shared" si="1"/>
        <v>0</v>
      </c>
      <c r="I11" s="16">
        <f t="shared" si="0"/>
        <v>0</v>
      </c>
      <c r="J11" s="8"/>
      <c r="K11" s="17">
        <f t="shared" si="2"/>
        <v>0</v>
      </c>
      <c r="L11" s="17">
        <f t="shared" si="2"/>
        <v>0</v>
      </c>
      <c r="Q11" t="str">
        <f>IF(E11="","",IF(E11=0,"",IF(E11&lt;$E$6*0.9,"Fail","")))</f>
        <v/>
      </c>
    </row>
    <row r="12" spans="2:17" x14ac:dyDescent="0.3">
      <c r="B12" s="13">
        <f>IF(M12&gt;=0.03,"5.0 Invalid Retest",5)</f>
        <v>5</v>
      </c>
      <c r="C12" s="14"/>
      <c r="D12" s="14"/>
      <c r="E12" s="40"/>
      <c r="F12" s="14"/>
      <c r="G12" s="14"/>
      <c r="H12" s="15">
        <f t="shared" si="1"/>
        <v>0</v>
      </c>
      <c r="I12" s="16">
        <f t="shared" si="0"/>
        <v>0</v>
      </c>
      <c r="J12" s="8"/>
      <c r="K12" s="17">
        <f t="shared" si="2"/>
        <v>0</v>
      </c>
      <c r="L12" s="17">
        <f t="shared" si="2"/>
        <v>0</v>
      </c>
      <c r="Q12" t="str">
        <f>IF(E12="","",IF(E12=0,"",IF(E12&lt;$E$6*0.9,"Fail","")))</f>
        <v/>
      </c>
    </row>
    <row r="13" spans="2:17" x14ac:dyDescent="0.3">
      <c r="B13" s="13">
        <f>IF(M13&gt;=0.03,"6.0 Invalid Retest",6)</f>
        <v>6</v>
      </c>
      <c r="C13" s="14"/>
      <c r="D13" s="14"/>
      <c r="E13" s="40"/>
      <c r="F13" s="14"/>
      <c r="G13" s="14"/>
      <c r="H13" s="15">
        <f t="shared" si="1"/>
        <v>0</v>
      </c>
      <c r="I13" s="16">
        <f t="shared" si="0"/>
        <v>0</v>
      </c>
      <c r="J13" s="8"/>
      <c r="K13" s="17">
        <f t="shared" si="2"/>
        <v>0</v>
      </c>
      <c r="L13" s="17">
        <f t="shared" si="2"/>
        <v>0</v>
      </c>
      <c r="Q13" t="str">
        <f>IF(E13="","",IF(E13=0,"",IF(E13&lt;$E$6*0.9,"Fail","")))</f>
        <v/>
      </c>
    </row>
    <row r="14" spans="2:17" x14ac:dyDescent="0.3">
      <c r="B14" s="24">
        <f>IF(M14&gt;=0.03,"7.0 Invalid Retest",7)</f>
        <v>7</v>
      </c>
      <c r="C14" s="18"/>
      <c r="D14" s="18"/>
      <c r="E14" s="40"/>
      <c r="F14" s="18"/>
      <c r="G14" s="18"/>
      <c r="H14" s="19">
        <f t="shared" si="1"/>
        <v>0</v>
      </c>
      <c r="I14" s="20">
        <f>IF(H14=$J$8,0,IF(H14=$J$9,0,IFERROR(IF(MROUND(G14/F14,0.001)&lt;0.97,0.97,IF(MROUND(G14/F14,0.001)&gt;1.03,1.03,MROUND(G14/F14,0.001))),"")))</f>
        <v>0</v>
      </c>
      <c r="J14" s="8"/>
      <c r="K14" s="17">
        <f t="shared" si="2"/>
        <v>0</v>
      </c>
      <c r="L14" s="17">
        <f t="shared" si="2"/>
        <v>0</v>
      </c>
      <c r="Q14" t="str">
        <f>IF(E14="","",IF(E14=0,"",IF(E14&lt;$E$6*0.9,"Fail","")))</f>
        <v/>
      </c>
    </row>
    <row r="15" spans="2:17" ht="15" thickBot="1" x14ac:dyDescent="0.35">
      <c r="B15" s="160" t="s">
        <v>20</v>
      </c>
      <c r="C15" s="161">
        <v>159.5</v>
      </c>
      <c r="D15" s="158" t="s">
        <v>21</v>
      </c>
      <c r="E15" s="158">
        <f>AVERAGE(E8:E14)</f>
        <v>4</v>
      </c>
      <c r="F15" s="159" t="str">
        <f>IFERROR(AVERAGEIF(F8:F14, "&lt;&gt;0"),"")</f>
        <v/>
      </c>
      <c r="G15" s="159" t="str">
        <f>IFERROR(AVERAGEIF(G8:G14, "&lt;&gt;0"),"")</f>
        <v/>
      </c>
      <c r="H15" s="30" t="str">
        <f>IFERROR(AVERAGEIF(H8:H14, "&lt;&gt;0"),"")</f>
        <v/>
      </c>
      <c r="I15" s="31" t="str">
        <f>IFERROR(MROUND(AVERAGEIF(I8:I14, "&lt;&gt;0"),0.001),"")</f>
        <v/>
      </c>
      <c r="J15" s="8"/>
      <c r="K15" s="8"/>
      <c r="L15" s="8"/>
      <c r="Q15" t="str">
        <f>IF(E15="","",IF(H15=0,"",IF(H15&lt;$E$6*0.9,"Fail","")))</f>
        <v/>
      </c>
    </row>
    <row r="16" spans="2:17" x14ac:dyDescent="0.3">
      <c r="B16" s="71" t="s">
        <v>22</v>
      </c>
      <c r="C16" s="72"/>
      <c r="D16" s="75" t="s">
        <v>23</v>
      </c>
      <c r="E16" s="75"/>
      <c r="F16" s="76" t="s">
        <v>24</v>
      </c>
      <c r="G16" s="77"/>
      <c r="H16" s="80" t="str">
        <f>IF(I15="","",IF(I15&lt;0.97,"Invalid Test-New Retest",IF(I15&gt;1.03,"Invalid Test-New Retest",MROUND(I15,0.01))))</f>
        <v/>
      </c>
      <c r="I16" s="81"/>
      <c r="J16" s="8"/>
      <c r="K16" s="8"/>
      <c r="L16" s="8"/>
      <c r="Q16" t="str">
        <f>IF(H16="","",IF(H16=0,"",IF(H16&lt;$H$6*0.9,"Fail","")))</f>
        <v/>
      </c>
    </row>
    <row r="17" spans="2:17" ht="15" thickBot="1" x14ac:dyDescent="0.35">
      <c r="B17" s="73"/>
      <c r="C17" s="74"/>
      <c r="D17" s="84" t="s">
        <v>25</v>
      </c>
      <c r="E17" s="84"/>
      <c r="F17" s="78"/>
      <c r="G17" s="79"/>
      <c r="H17" s="82"/>
      <c r="I17" s="83"/>
      <c r="J17" s="8"/>
      <c r="K17" s="8"/>
      <c r="L17" s="8"/>
      <c r="Q17" t="str">
        <f>IF(H17="","",IF(H17=0,"",IF(H17&lt;$H$6*0.9,"Fail","")))</f>
        <v/>
      </c>
    </row>
    <row r="18" spans="2:17" x14ac:dyDescent="0.3">
      <c r="B18" s="53" t="s">
        <v>26</v>
      </c>
      <c r="C18" s="54"/>
      <c r="D18" s="54"/>
      <c r="E18" s="54"/>
      <c r="F18" s="54"/>
      <c r="G18" s="54"/>
      <c r="H18" s="54"/>
      <c r="I18" s="55"/>
      <c r="J18" s="8"/>
      <c r="K18" s="8"/>
      <c r="L18" s="8"/>
    </row>
    <row r="19" spans="2:17" x14ac:dyDescent="0.3">
      <c r="B19" s="56"/>
      <c r="C19" s="57"/>
      <c r="D19" s="57"/>
      <c r="E19" s="57"/>
      <c r="F19" s="57"/>
      <c r="G19" s="57"/>
      <c r="H19" s="57"/>
      <c r="I19" s="58"/>
      <c r="J19" s="8"/>
      <c r="K19" s="8"/>
      <c r="L19" s="8"/>
    </row>
    <row r="20" spans="2:17" x14ac:dyDescent="0.3">
      <c r="B20" s="59"/>
      <c r="C20" s="60"/>
      <c r="D20" s="60"/>
      <c r="E20" s="60"/>
      <c r="F20" s="60"/>
      <c r="G20" s="60"/>
      <c r="H20" s="60"/>
      <c r="I20" s="61"/>
      <c r="J20" s="8"/>
      <c r="K20" s="8"/>
      <c r="L20" s="8"/>
    </row>
    <row r="21" spans="2:17" x14ac:dyDescent="0.3">
      <c r="B21" s="59"/>
      <c r="C21" s="60"/>
      <c r="D21" s="60"/>
      <c r="E21" s="60"/>
      <c r="F21" s="60"/>
      <c r="G21" s="60"/>
      <c r="H21" s="60"/>
      <c r="I21" s="61"/>
      <c r="J21" s="8"/>
      <c r="K21" s="8"/>
      <c r="L21" s="8"/>
    </row>
    <row r="22" spans="2:17" x14ac:dyDescent="0.3">
      <c r="B22" s="62"/>
      <c r="C22" s="63"/>
      <c r="D22" s="63"/>
      <c r="E22" s="63"/>
      <c r="F22" s="63"/>
      <c r="G22" s="63"/>
      <c r="H22" s="63"/>
      <c r="I22" s="64"/>
      <c r="J22" s="8"/>
      <c r="K22" s="8"/>
      <c r="L22" s="8"/>
    </row>
    <row r="23" spans="2:17" x14ac:dyDescent="0.3">
      <c r="B23" s="65" t="s">
        <v>27</v>
      </c>
      <c r="C23" s="65"/>
      <c r="D23" s="66" t="s">
        <v>28</v>
      </c>
      <c r="E23" s="67"/>
      <c r="F23" s="65" t="s">
        <v>29</v>
      </c>
      <c r="G23" s="65"/>
      <c r="H23" s="65"/>
      <c r="I23" s="65"/>
      <c r="J23" s="8"/>
      <c r="K23" s="8"/>
      <c r="L23" s="8"/>
    </row>
    <row r="24" spans="2:17" x14ac:dyDescent="0.3">
      <c r="B24" s="68"/>
      <c r="C24" s="68"/>
      <c r="D24" s="69"/>
      <c r="E24" s="70"/>
      <c r="F24" s="68"/>
      <c r="G24" s="68"/>
      <c r="H24" s="68"/>
      <c r="I24" s="68"/>
      <c r="J24" s="8"/>
      <c r="K24" s="8"/>
      <c r="L24" s="8"/>
    </row>
    <row r="25" spans="2:17" x14ac:dyDescent="0.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2:17" x14ac:dyDescent="0.3">
      <c r="B26" s="8"/>
      <c r="C26" s="8"/>
      <c r="D26" s="8"/>
      <c r="E26" s="8"/>
      <c r="F26" s="8"/>
      <c r="G26" s="44"/>
      <c r="H26" s="45"/>
      <c r="I26" s="46"/>
      <c r="J26" s="8"/>
      <c r="K26" s="8"/>
      <c r="L26" s="8"/>
    </row>
    <row r="27" spans="2:17" x14ac:dyDescent="0.3">
      <c r="B27" s="167" t="s">
        <v>38</v>
      </c>
      <c r="C27" s="167"/>
      <c r="D27" s="167"/>
      <c r="E27" s="167"/>
      <c r="F27" s="8"/>
      <c r="G27" s="47"/>
      <c r="H27" s="48"/>
      <c r="I27" s="49"/>
      <c r="J27" s="8"/>
      <c r="K27" s="8"/>
      <c r="L27" s="8"/>
    </row>
    <row r="28" spans="2:17" x14ac:dyDescent="0.3">
      <c r="B28" s="166"/>
      <c r="C28" s="166"/>
      <c r="D28" s="166"/>
      <c r="E28" s="166"/>
      <c r="F28" s="8"/>
      <c r="G28" s="47"/>
      <c r="H28" s="48"/>
      <c r="I28" s="49"/>
      <c r="J28" s="8"/>
      <c r="K28" s="8"/>
      <c r="L28" s="8"/>
    </row>
    <row r="29" spans="2:17" x14ac:dyDescent="0.3">
      <c r="B29" s="51"/>
      <c r="C29" s="51"/>
      <c r="D29" s="51"/>
      <c r="E29" s="51"/>
      <c r="F29" s="8"/>
      <c r="G29" s="47"/>
      <c r="H29" s="48"/>
      <c r="I29" s="49"/>
      <c r="J29" s="8"/>
      <c r="K29" s="8"/>
      <c r="L29" s="8"/>
    </row>
    <row r="30" spans="2:17" x14ac:dyDescent="0.3">
      <c r="B30" s="168" t="s">
        <v>44</v>
      </c>
      <c r="C30" s="45"/>
      <c r="D30" s="45"/>
      <c r="E30" s="45"/>
      <c r="F30" s="8"/>
      <c r="G30" s="47"/>
      <c r="H30" s="48"/>
      <c r="I30" s="49"/>
      <c r="J30" s="8"/>
      <c r="K30" s="8"/>
      <c r="L30" s="8"/>
    </row>
    <row r="31" spans="2:17" x14ac:dyDescent="0.3">
      <c r="B31" s="169"/>
      <c r="C31" s="51"/>
      <c r="D31" s="51"/>
      <c r="E31" s="51"/>
      <c r="F31" s="8"/>
      <c r="G31" s="47"/>
      <c r="H31" s="48"/>
      <c r="I31" s="49"/>
      <c r="J31" s="8"/>
      <c r="K31" s="8"/>
      <c r="L31" s="8"/>
    </row>
    <row r="32" spans="2:17" x14ac:dyDescent="0.3">
      <c r="B32" s="48"/>
      <c r="C32" s="48"/>
      <c r="D32" s="48"/>
      <c r="E32" s="48"/>
      <c r="F32" s="8"/>
      <c r="G32" s="47"/>
      <c r="H32" s="48"/>
      <c r="I32" s="49"/>
      <c r="J32" s="8"/>
      <c r="K32" s="8"/>
      <c r="L32" s="8"/>
    </row>
    <row r="33" spans="2:12" x14ac:dyDescent="0.3">
      <c r="B33" s="48"/>
      <c r="C33" s="48"/>
      <c r="D33" s="48"/>
      <c r="E33" s="48"/>
      <c r="F33" s="8"/>
      <c r="G33" s="47"/>
      <c r="H33" s="48"/>
      <c r="I33" s="49"/>
      <c r="J33" s="8"/>
      <c r="K33" s="8"/>
      <c r="L33" s="8"/>
    </row>
    <row r="34" spans="2:12" x14ac:dyDescent="0.3">
      <c r="B34" s="8"/>
      <c r="C34" s="8"/>
      <c r="D34" s="8"/>
      <c r="E34" s="8"/>
      <c r="F34" s="8"/>
      <c r="G34" s="50"/>
      <c r="H34" s="51"/>
      <c r="I34" s="52"/>
      <c r="J34" s="8"/>
      <c r="K34" s="8"/>
      <c r="L34" s="8"/>
    </row>
  </sheetData>
  <protectedRanges>
    <protectedRange algorithmName="SHA-512" hashValue="ct/z4c6ed8Q6M61xtvUUlzZXm/S+tpV4v4TiO7uW8Fe0q5ULyM761CDQgPpGXqZMsGb6Zf5+hzXF04f2TnVulQ==" saltValue="8oj1eTQi1Ub/XY19++VK/A==" spinCount="100000" sqref="B6:I6 H3 E2:E3 B3 B19 F24 D24 B24 G26 C8:D14 F8:G14" name="Range2"/>
    <protectedRange algorithmName="SHA-512" hashValue="ct/z4c6ed8Q6M61xtvUUlzZXm/S+tpV4v4TiO7uW8Fe0q5ULyM761CDQgPpGXqZMsGb6Zf5+hzXF04f2TnVulQ==" saltValue="8oj1eTQi1Ub/XY19++VK/A==" spinCount="100000" sqref="E8:E15 D15" name="Range2_2"/>
  </protectedRanges>
  <mergeCells count="32">
    <mergeCell ref="B1:I1"/>
    <mergeCell ref="B2:C2"/>
    <mergeCell ref="E2:F2"/>
    <mergeCell ref="B3:C3"/>
    <mergeCell ref="E3:F3"/>
    <mergeCell ref="H3:I3"/>
    <mergeCell ref="C4:I4"/>
    <mergeCell ref="B5:C5"/>
    <mergeCell ref="F5:G5"/>
    <mergeCell ref="H5:I5"/>
    <mergeCell ref="B6:C6"/>
    <mergeCell ref="F6:G6"/>
    <mergeCell ref="H6:I6"/>
    <mergeCell ref="B16:C17"/>
    <mergeCell ref="D16:E16"/>
    <mergeCell ref="F16:G17"/>
    <mergeCell ref="H16:I17"/>
    <mergeCell ref="D17:E17"/>
    <mergeCell ref="G26:I34"/>
    <mergeCell ref="B18:I18"/>
    <mergeCell ref="B19:I22"/>
    <mergeCell ref="B23:C23"/>
    <mergeCell ref="D23:E23"/>
    <mergeCell ref="F23:I23"/>
    <mergeCell ref="B24:C24"/>
    <mergeCell ref="D24:E24"/>
    <mergeCell ref="F24:I24"/>
    <mergeCell ref="B27:E27"/>
    <mergeCell ref="B28:E29"/>
    <mergeCell ref="C30:E31"/>
    <mergeCell ref="B32:E33"/>
    <mergeCell ref="B30:B31"/>
  </mergeCells>
  <conditionalFormatting sqref="B8:D8 B9:B14 F8:H8">
    <cfRule type="expression" dxfId="29" priority="32">
      <formula>$I$8=0</formula>
    </cfRule>
  </conditionalFormatting>
  <conditionalFormatting sqref="C9:D9 F9:H9">
    <cfRule type="expression" dxfId="28" priority="31">
      <formula>$I$9=0</formula>
    </cfRule>
  </conditionalFormatting>
  <conditionalFormatting sqref="C10:D10 F10:H10">
    <cfRule type="expression" dxfId="27" priority="30">
      <formula>$I$10=0</formula>
    </cfRule>
  </conditionalFormatting>
  <conditionalFormatting sqref="C11:D11 F11:H11">
    <cfRule type="expression" dxfId="26" priority="29">
      <formula>$I$11=0</formula>
    </cfRule>
  </conditionalFormatting>
  <conditionalFormatting sqref="C12:D12 F12:H12">
    <cfRule type="expression" dxfId="25" priority="28">
      <formula>$I$12=0</formula>
    </cfRule>
  </conditionalFormatting>
  <conditionalFormatting sqref="C13:D13 F13:H13">
    <cfRule type="expression" dxfId="24" priority="27">
      <formula>$I$13=0</formula>
    </cfRule>
  </conditionalFormatting>
  <conditionalFormatting sqref="C14:D14 F14:H14">
    <cfRule type="expression" dxfId="23" priority="26">
      <formula>$I$14=0</formula>
    </cfRule>
  </conditionalFormatting>
  <conditionalFormatting sqref="D16:D17">
    <cfRule type="containsText" dxfId="22" priority="35" operator="containsText" text="Does not meet design thickness">
      <formula>NOT(ISERROR(SEARCH("Does not meet design thickness",D16)))</formula>
    </cfRule>
  </conditionalFormatting>
  <conditionalFormatting sqref="H8:H14">
    <cfRule type="cellIs" dxfId="21" priority="34" operator="equal">
      <formula>0</formula>
    </cfRule>
  </conditionalFormatting>
  <conditionalFormatting sqref="I8:I14">
    <cfRule type="cellIs" dxfId="20" priority="33" operator="equal">
      <formula>0</formula>
    </cfRule>
  </conditionalFormatting>
  <conditionalFormatting sqref="B8:D8 B9:B14 F8:I8">
    <cfRule type="expression" dxfId="19" priority="25">
      <formula>"l8&gt;=3"</formula>
    </cfRule>
  </conditionalFormatting>
  <conditionalFormatting sqref="H16:I17">
    <cfRule type="cellIs" dxfId="18" priority="23" operator="lessThan">
      <formula>0.97</formula>
    </cfRule>
    <cfRule type="cellIs" dxfId="17" priority="24" operator="greaterThan">
      <formula>1.03</formula>
    </cfRule>
  </conditionalFormatting>
  <conditionalFormatting sqref="E8">
    <cfRule type="expression" dxfId="16" priority="1">
      <formula>Q8="FAIL"</formula>
    </cfRule>
  </conditionalFormatting>
  <conditionalFormatting sqref="E9">
    <cfRule type="expression" dxfId="15" priority="18">
      <formula>Q9="FAIL"</formula>
    </cfRule>
  </conditionalFormatting>
  <conditionalFormatting sqref="E10">
    <cfRule type="expression" dxfId="14" priority="10">
      <formula>Q10="FAIL"</formula>
    </cfRule>
  </conditionalFormatting>
  <conditionalFormatting sqref="E11">
    <cfRule type="expression" dxfId="13" priority="20">
      <formula>Q11="FAIL"</formula>
    </cfRule>
  </conditionalFormatting>
  <conditionalFormatting sqref="E12">
    <cfRule type="expression" dxfId="12" priority="12">
      <formula>Q12="FAIL"</formula>
    </cfRule>
  </conditionalFormatting>
  <conditionalFormatting sqref="E13">
    <cfRule type="expression" dxfId="11" priority="22">
      <formula>Q13="FAIL"</formula>
    </cfRule>
  </conditionalFormatting>
  <conditionalFormatting sqref="E14">
    <cfRule type="expression" dxfId="10" priority="16">
      <formula>Q14="FAIL"</formula>
    </cfRule>
  </conditionalFormatting>
  <dataValidations count="1">
    <dataValidation type="list" allowBlank="1" showInputMessage="1" showErrorMessage="1" sqref="D6" xr:uid="{C952230D-417C-4DD8-B39B-C555481B3AA1}">
      <formula1>"2C, 2F, TYPE 3"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1</xdr:row>
                    <xdr:rowOff>22860</xdr:rowOff>
                  </from>
                  <to>
                    <xdr:col>7</xdr:col>
                    <xdr:colOff>175260</xdr:colOff>
                    <xdr:row>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</xdr:row>
                    <xdr:rowOff>15240</xdr:rowOff>
                  </from>
                  <to>
                    <xdr:col>8</xdr:col>
                    <xdr:colOff>228600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F5B2-2CAF-4A64-9654-BB56BE741E90}">
  <dimension ref="A1:Q36"/>
  <sheetViews>
    <sheetView view="pageBreakPreview" zoomScale="130" zoomScaleNormal="130" zoomScaleSheetLayoutView="130" workbookViewId="0">
      <selection activeCell="V16" sqref="V16"/>
    </sheetView>
  </sheetViews>
  <sheetFormatPr defaultRowHeight="14.4" x14ac:dyDescent="0.3"/>
  <cols>
    <col min="1" max="1" width="1.77734375" style="2" customWidth="1"/>
    <col min="2" max="3" width="6.33203125" style="2" customWidth="1"/>
    <col min="4" max="4" width="6.77734375" style="2" customWidth="1"/>
    <col min="5" max="5" width="7.77734375" style="2" customWidth="1"/>
    <col min="6" max="7" width="9.77734375" style="2" customWidth="1"/>
    <col min="8" max="8" width="7.77734375" style="2" customWidth="1"/>
    <col min="9" max="9" width="9.77734375" style="2" customWidth="1"/>
    <col min="10" max="10" width="8.77734375" style="2" customWidth="1"/>
    <col min="11" max="11" width="7.77734375" style="2" customWidth="1"/>
    <col min="12" max="12" width="5.77734375" style="2" customWidth="1"/>
    <col min="13" max="13" width="1.77734375" style="2" customWidth="1"/>
    <col min="14" max="15" width="8.88671875" style="2" hidden="1" customWidth="1"/>
    <col min="16" max="16" width="6.33203125" style="2" hidden="1" customWidth="1"/>
    <col min="17" max="17" width="0" hidden="1" customWidth="1"/>
  </cols>
  <sheetData>
    <row r="1" spans="1:17" ht="15.6" x14ac:dyDescent="0.3">
      <c r="A1" s="110"/>
      <c r="B1" s="91" t="s">
        <v>36</v>
      </c>
      <c r="C1" s="91"/>
      <c r="D1" s="91"/>
      <c r="E1" s="91"/>
      <c r="F1" s="91"/>
      <c r="G1" s="92"/>
      <c r="H1" s="92"/>
      <c r="I1" s="92"/>
      <c r="J1" s="91"/>
      <c r="K1" s="91"/>
      <c r="L1" s="91"/>
      <c r="M1" s="92"/>
      <c r="N1" s="1"/>
      <c r="O1" s="1"/>
    </row>
    <row r="2" spans="1:17" ht="20.399999999999999" x14ac:dyDescent="0.3">
      <c r="A2" s="110"/>
      <c r="B2" s="154" t="s">
        <v>1</v>
      </c>
      <c r="C2" s="155"/>
      <c r="D2" s="155"/>
      <c r="E2" s="155"/>
      <c r="F2" s="156"/>
      <c r="G2" s="124"/>
      <c r="H2" s="125"/>
      <c r="I2" s="126"/>
      <c r="J2" s="4" t="s">
        <v>3</v>
      </c>
      <c r="K2" s="23" t="s">
        <v>4</v>
      </c>
      <c r="L2" s="5"/>
      <c r="M2" s="92"/>
      <c r="N2" s="6"/>
      <c r="O2" s="6"/>
    </row>
    <row r="3" spans="1:17" ht="21.6" customHeight="1" x14ac:dyDescent="0.3">
      <c r="A3" s="110"/>
      <c r="B3" s="102"/>
      <c r="C3" s="157"/>
      <c r="D3" s="157"/>
      <c r="E3" s="157"/>
      <c r="F3" s="103"/>
      <c r="G3" s="34" t="s">
        <v>5</v>
      </c>
      <c r="H3" s="98"/>
      <c r="I3" s="99"/>
      <c r="J3" s="3" t="s">
        <v>6</v>
      </c>
      <c r="K3" s="100"/>
      <c r="L3" s="101"/>
      <c r="M3" s="92"/>
      <c r="N3" s="8"/>
      <c r="O3" s="8"/>
    </row>
    <row r="4" spans="1:17" ht="21" customHeight="1" x14ac:dyDescent="0.3">
      <c r="A4" s="110"/>
      <c r="B4" s="127" t="s">
        <v>7</v>
      </c>
      <c r="C4" s="128"/>
      <c r="D4" s="128"/>
      <c r="E4" s="128"/>
      <c r="F4" s="86"/>
      <c r="G4" s="85"/>
      <c r="H4" s="85"/>
      <c r="I4" s="85"/>
      <c r="J4" s="86"/>
      <c r="K4" s="85"/>
      <c r="L4" s="87"/>
      <c r="M4" s="92"/>
      <c r="N4" s="8"/>
      <c r="O4" s="8"/>
    </row>
    <row r="5" spans="1:17" ht="20.399999999999999" x14ac:dyDescent="0.3">
      <c r="A5" s="110"/>
      <c r="B5" s="88" t="s">
        <v>8</v>
      </c>
      <c r="C5" s="88"/>
      <c r="D5" s="88"/>
      <c r="E5" s="88"/>
      <c r="F5" s="88"/>
      <c r="G5" s="10" t="s">
        <v>9</v>
      </c>
      <c r="H5" s="10" t="s">
        <v>10</v>
      </c>
      <c r="I5" s="138" t="s">
        <v>12</v>
      </c>
      <c r="J5" s="139"/>
      <c r="K5" s="139"/>
      <c r="L5" s="140"/>
      <c r="M5" s="92"/>
      <c r="N5" s="8"/>
      <c r="O5" s="8"/>
    </row>
    <row r="6" spans="1:17" x14ac:dyDescent="0.3">
      <c r="A6" s="110"/>
      <c r="B6" s="89"/>
      <c r="C6" s="153"/>
      <c r="D6" s="153"/>
      <c r="E6" s="153"/>
      <c r="F6" s="90"/>
      <c r="G6" s="11"/>
      <c r="H6" s="12">
        <v>3</v>
      </c>
      <c r="I6" s="141"/>
      <c r="J6" s="142"/>
      <c r="K6" s="142"/>
      <c r="L6" s="143"/>
      <c r="M6" s="92"/>
      <c r="N6" s="8"/>
      <c r="O6" s="8"/>
    </row>
    <row r="7" spans="1:17" ht="51" x14ac:dyDescent="0.3">
      <c r="A7" s="110"/>
      <c r="B7" s="21" t="s">
        <v>13</v>
      </c>
      <c r="C7" s="21" t="s">
        <v>31</v>
      </c>
      <c r="D7" s="21" t="s">
        <v>34</v>
      </c>
      <c r="E7" s="21" t="s">
        <v>30</v>
      </c>
      <c r="F7" s="22" t="s">
        <v>14</v>
      </c>
      <c r="G7" s="22" t="s">
        <v>15</v>
      </c>
      <c r="H7" s="22" t="s">
        <v>42</v>
      </c>
      <c r="I7" s="22" t="s">
        <v>32</v>
      </c>
      <c r="J7" s="22" t="s">
        <v>16</v>
      </c>
      <c r="K7" s="22" t="s">
        <v>17</v>
      </c>
      <c r="L7" s="22" t="s">
        <v>18</v>
      </c>
      <c r="M7" s="92"/>
      <c r="N7" s="8"/>
      <c r="O7" s="8"/>
    </row>
    <row r="8" spans="1:17" ht="18" customHeight="1" x14ac:dyDescent="0.3">
      <c r="A8" s="110"/>
      <c r="B8" s="13">
        <f>IFERROR(IF(P8&gt;=0.03,"1.0 Invalid Retest",1),"")</f>
        <v>1</v>
      </c>
      <c r="C8" s="146">
        <v>162.4</v>
      </c>
      <c r="D8" s="149">
        <v>46207</v>
      </c>
      <c r="E8" s="122">
        <v>1.01</v>
      </c>
      <c r="F8" s="28"/>
      <c r="G8" s="28"/>
      <c r="H8" s="40">
        <v>2.9</v>
      </c>
      <c r="I8" s="28">
        <v>156.30000000000001</v>
      </c>
      <c r="J8" s="28">
        <v>158.19999999999999</v>
      </c>
      <c r="K8" s="21">
        <f>IFERROR(IF(D8="","",J8-I8),0)</f>
        <v>1.8999999999999773</v>
      </c>
      <c r="L8" s="144">
        <f>IFERROR(MROUND(AVERAGE(J8:J9)/AVERAGE(I8:I9),0.01),"")</f>
        <v>1.01</v>
      </c>
      <c r="M8" s="92"/>
      <c r="N8" s="17">
        <f>MROUND(I8/C8,0.001)</f>
        <v>0.96199999999999997</v>
      </c>
      <c r="O8" s="17">
        <f>MROUND(J8/C8,0.001)</f>
        <v>0.97399999999999998</v>
      </c>
      <c r="P8" s="25">
        <f>ABS(N8-O8)</f>
        <v>1.2000000000000011E-2</v>
      </c>
      <c r="Q8" t="str">
        <f>IF(H8="","",IF(H8=0,"",IF(H8&lt;$H$6*0.9,"Fail","")))</f>
        <v/>
      </c>
    </row>
    <row r="9" spans="1:17" ht="18" customHeight="1" x14ac:dyDescent="0.3">
      <c r="A9" s="110"/>
      <c r="B9" s="13">
        <f>IFERROR(IF(P9&gt;=0.03,"2.0 Invalid Retest",2),"")</f>
        <v>2</v>
      </c>
      <c r="C9" s="147"/>
      <c r="D9" s="151"/>
      <c r="E9" s="152"/>
      <c r="F9" s="28"/>
      <c r="G9" s="28"/>
      <c r="H9" s="40"/>
      <c r="I9" s="28">
        <v>157.1</v>
      </c>
      <c r="J9" s="28">
        <v>156.9</v>
      </c>
      <c r="K9" s="21">
        <f>IFERROR(IF(D8="","",J9-I9),0)</f>
        <v>-0.19999999999998863</v>
      </c>
      <c r="L9" s="145"/>
      <c r="M9" s="92"/>
      <c r="N9" s="17">
        <f>MROUND(I9/C8,0.001)</f>
        <v>0.96699999999999997</v>
      </c>
      <c r="O9" s="17">
        <f>MROUND(J9/C8,0.001)</f>
        <v>0.96599999999999997</v>
      </c>
      <c r="P9" s="25">
        <f t="shared" ref="P9:P15" si="0">ABS(N9-O9)</f>
        <v>1.0000000000000009E-3</v>
      </c>
      <c r="Q9" t="str">
        <f t="shared" ref="Q9:Q17" si="1">IF(H9="","",IF(H9=0,"",IF(H9&lt;$H$6*0.9,"Fail","")))</f>
        <v/>
      </c>
    </row>
    <row r="10" spans="1:17" ht="18" customHeight="1" x14ac:dyDescent="0.3">
      <c r="A10" s="110"/>
      <c r="B10" s="13" t="str">
        <f>IFERROR(IF(P10&gt;=0.03,"3.0 Invalid Retest",3),"")</f>
        <v/>
      </c>
      <c r="C10" s="146"/>
      <c r="D10" s="149"/>
      <c r="E10" s="122"/>
      <c r="F10" s="28"/>
      <c r="G10" s="28"/>
      <c r="H10" s="40"/>
      <c r="I10" s="28"/>
      <c r="J10" s="28"/>
      <c r="K10" s="21" t="str">
        <f>IFERROR(IF(D10="","",J10-I10),0)</f>
        <v/>
      </c>
      <c r="L10" s="144" t="str">
        <f>IFERROR(MROUND(AVERAGE(J10:J11)/AVERAGE(I10:I11),0.01),"")</f>
        <v/>
      </c>
      <c r="M10" s="92"/>
      <c r="N10" s="17" t="e">
        <f>MROUND(I10/C10,0.001)</f>
        <v>#DIV/0!</v>
      </c>
      <c r="O10" s="17" t="e">
        <f>MROUND(J10/C10,0.001)</f>
        <v>#DIV/0!</v>
      </c>
      <c r="P10" s="25" t="e">
        <f t="shared" si="0"/>
        <v>#DIV/0!</v>
      </c>
      <c r="Q10" t="str">
        <f t="shared" si="1"/>
        <v/>
      </c>
    </row>
    <row r="11" spans="1:17" ht="18" customHeight="1" x14ac:dyDescent="0.3">
      <c r="A11" s="110"/>
      <c r="B11" s="13" t="str">
        <f>IFERROR(IF(P11&gt;=0.03,"4.0 Invalid Retest",4),"")</f>
        <v/>
      </c>
      <c r="C11" s="147"/>
      <c r="D11" s="151"/>
      <c r="E11" s="152"/>
      <c r="F11" s="28"/>
      <c r="G11" s="28"/>
      <c r="H11" s="40"/>
      <c r="I11" s="28"/>
      <c r="J11" s="28"/>
      <c r="K11" s="21" t="str">
        <f>IFERROR(IF(D10="","",J11-I11),0)</f>
        <v/>
      </c>
      <c r="L11" s="145"/>
      <c r="M11" s="92"/>
      <c r="N11" s="17" t="e">
        <f>MROUND(I11/C10,0.001)</f>
        <v>#DIV/0!</v>
      </c>
      <c r="O11" s="17" t="e">
        <f>MROUND(J11/C10,0.001)</f>
        <v>#DIV/0!</v>
      </c>
      <c r="P11" s="25" t="e">
        <f t="shared" si="0"/>
        <v>#DIV/0!</v>
      </c>
      <c r="Q11" t="str">
        <f t="shared" si="1"/>
        <v/>
      </c>
    </row>
    <row r="12" spans="1:17" ht="18" customHeight="1" x14ac:dyDescent="0.3">
      <c r="A12" s="110"/>
      <c r="B12" s="13" t="str">
        <f>IFERROR(IF(P12&gt;=0.03,"5.0 Invalid Retest",5),"")</f>
        <v/>
      </c>
      <c r="C12" s="146"/>
      <c r="D12" s="149"/>
      <c r="E12" s="122"/>
      <c r="F12" s="28"/>
      <c r="G12" s="28"/>
      <c r="H12" s="40"/>
      <c r="I12" s="28"/>
      <c r="J12" s="28"/>
      <c r="K12" s="21" t="str">
        <f>IFERROR(IF(D12="","",J12-I12),0)</f>
        <v/>
      </c>
      <c r="L12" s="144" t="str">
        <f>IFERROR(MROUND(AVERAGE(J12:J13)/AVERAGE(I12:I13),0.01),"")</f>
        <v/>
      </c>
      <c r="M12" s="92"/>
      <c r="N12" s="17" t="e">
        <f>MROUND(I12/C12,0.001)</f>
        <v>#DIV/0!</v>
      </c>
      <c r="O12" s="17" t="e">
        <f>MROUND(J12/C12,0.001)</f>
        <v>#DIV/0!</v>
      </c>
      <c r="P12" s="25" t="e">
        <f t="shared" si="0"/>
        <v>#DIV/0!</v>
      </c>
      <c r="Q12" t="str">
        <f t="shared" si="1"/>
        <v/>
      </c>
    </row>
    <row r="13" spans="1:17" ht="18" customHeight="1" x14ac:dyDescent="0.3">
      <c r="A13" s="110"/>
      <c r="B13" s="13" t="str">
        <f>IFERROR(IF(P13&gt;=0.03,"6.0 Invalid Retest",6),"")</f>
        <v/>
      </c>
      <c r="C13" s="147"/>
      <c r="D13" s="151"/>
      <c r="E13" s="152"/>
      <c r="F13" s="28"/>
      <c r="G13" s="28"/>
      <c r="H13" s="40"/>
      <c r="I13" s="28"/>
      <c r="J13" s="28"/>
      <c r="K13" s="21" t="str">
        <f>IFERROR(IF(D12="","",J13-I13),0)</f>
        <v/>
      </c>
      <c r="L13" s="145"/>
      <c r="M13" s="92"/>
      <c r="N13" s="17" t="e">
        <f>MROUND(I13/C12,0.001)</f>
        <v>#DIV/0!</v>
      </c>
      <c r="O13" s="17" t="e">
        <f>MROUND(J13/C12,0.001)</f>
        <v>#DIV/0!</v>
      </c>
      <c r="P13" s="25" t="e">
        <f t="shared" si="0"/>
        <v>#DIV/0!</v>
      </c>
      <c r="Q13" t="str">
        <f t="shared" si="1"/>
        <v/>
      </c>
    </row>
    <row r="14" spans="1:17" ht="18" customHeight="1" x14ac:dyDescent="0.3">
      <c r="A14" s="110"/>
      <c r="B14" s="13" t="str">
        <f>IFERROR(IF(P14&gt;=0.03,"7.0 Invalid Retest",7),"")</f>
        <v/>
      </c>
      <c r="C14" s="146"/>
      <c r="D14" s="149"/>
      <c r="E14" s="122"/>
      <c r="F14" s="28"/>
      <c r="G14" s="28"/>
      <c r="H14" s="40"/>
      <c r="I14" s="29"/>
      <c r="J14" s="29"/>
      <c r="K14" s="21" t="str">
        <f>IFERROR(IF(D14="","",J14-I14),0)</f>
        <v/>
      </c>
      <c r="L14" s="144" t="str">
        <f>IFERROR(MROUND(AVERAGE(J14:J15)/AVERAGE(I14:I15),0.01),"")</f>
        <v/>
      </c>
      <c r="M14" s="92"/>
      <c r="N14" s="17" t="e">
        <f>MROUND(I14/C14,0.001)</f>
        <v>#DIV/0!</v>
      </c>
      <c r="O14" s="17" t="e">
        <f>MROUND(J14/C14,0.001)</f>
        <v>#DIV/0!</v>
      </c>
      <c r="P14" s="25" t="e">
        <f t="shared" si="0"/>
        <v>#DIV/0!</v>
      </c>
      <c r="Q14" t="str">
        <f t="shared" si="1"/>
        <v/>
      </c>
    </row>
    <row r="15" spans="1:17" ht="18" customHeight="1" x14ac:dyDescent="0.3">
      <c r="A15" s="110"/>
      <c r="B15" s="13" t="str">
        <f>IFERROR(IF(P15&gt;=0.03,"8.0 Invalid Retest",8),"")</f>
        <v/>
      </c>
      <c r="C15" s="147"/>
      <c r="D15" s="151"/>
      <c r="E15" s="152"/>
      <c r="F15" s="28"/>
      <c r="G15" s="28"/>
      <c r="H15" s="40"/>
      <c r="I15" s="29"/>
      <c r="J15" s="29"/>
      <c r="K15" s="21" t="str">
        <f>IFERROR(IF(D14="","",J15-I15),0)</f>
        <v/>
      </c>
      <c r="L15" s="145"/>
      <c r="M15" s="92"/>
      <c r="N15" s="17" t="e">
        <f>MROUND(I15/C14,0.001)</f>
        <v>#DIV/0!</v>
      </c>
      <c r="O15" s="17" t="e">
        <f>MROUND(J15/C14,0.001)</f>
        <v>#DIV/0!</v>
      </c>
      <c r="P15" s="25" t="e">
        <f t="shared" si="0"/>
        <v>#DIV/0!</v>
      </c>
      <c r="Q15" t="str">
        <f t="shared" si="1"/>
        <v/>
      </c>
    </row>
    <row r="16" spans="1:17" ht="18" customHeight="1" x14ac:dyDescent="0.3">
      <c r="A16" s="110"/>
      <c r="B16" s="13" t="str">
        <f>IFERROR(IF(P16&gt;=0.03,"9.0 Invalid Retest",9),"")</f>
        <v/>
      </c>
      <c r="C16" s="146"/>
      <c r="D16" s="149"/>
      <c r="E16" s="122"/>
      <c r="F16" s="28"/>
      <c r="G16" s="28"/>
      <c r="H16" s="40"/>
      <c r="I16" s="29"/>
      <c r="J16" s="29"/>
      <c r="K16" s="21" t="str">
        <f t="shared" ref="K16:K17" si="2">IFERROR(IF(D15="","",J16-I16),0)</f>
        <v/>
      </c>
      <c r="L16" s="144" t="str">
        <f>IFERROR(MROUND(AVERAGE(J16:J17)/AVERAGE(I16:I17),0.01),"")</f>
        <v/>
      </c>
      <c r="M16" s="92"/>
      <c r="N16" s="17" t="e">
        <f>MROUND(I16/C16,0.001)</f>
        <v>#DIV/0!</v>
      </c>
      <c r="O16" s="17" t="e">
        <f>MROUND(J16/C16,0.001)</f>
        <v>#DIV/0!</v>
      </c>
      <c r="P16" s="25" t="e">
        <f t="shared" ref="P16:P17" si="3">ABS(N16-O16)</f>
        <v>#DIV/0!</v>
      </c>
      <c r="Q16" t="str">
        <f t="shared" si="1"/>
        <v/>
      </c>
    </row>
    <row r="17" spans="1:17" ht="18" customHeight="1" x14ac:dyDescent="0.3">
      <c r="A17" s="110"/>
      <c r="B17" s="24" t="str">
        <f>IFERROR(IF(P17&gt;=0.03,"10.0 Invalid Retest",10),"")</f>
        <v/>
      </c>
      <c r="C17" s="148"/>
      <c r="D17" s="150"/>
      <c r="E17" s="123"/>
      <c r="F17" s="29"/>
      <c r="G17" s="29"/>
      <c r="H17" s="40"/>
      <c r="I17" s="29"/>
      <c r="J17" s="29"/>
      <c r="K17" s="21" t="str">
        <f t="shared" si="2"/>
        <v/>
      </c>
      <c r="L17" s="145"/>
      <c r="M17" s="92"/>
      <c r="N17" s="17" t="e">
        <f>MROUND(I17/C16,0.001)</f>
        <v>#DIV/0!</v>
      </c>
      <c r="O17" s="17" t="e">
        <f>MROUND(J17/C16,0.001)</f>
        <v>#DIV/0!</v>
      </c>
      <c r="P17" s="25" t="e">
        <f t="shared" si="3"/>
        <v>#DIV/0!</v>
      </c>
      <c r="Q17" t="str">
        <f t="shared" si="1"/>
        <v/>
      </c>
    </row>
    <row r="18" spans="1:17" ht="22.8" customHeight="1" thickBot="1" x14ac:dyDescent="0.35">
      <c r="A18" s="110"/>
      <c r="B18" s="26"/>
      <c r="C18" s="27"/>
      <c r="D18" s="27"/>
      <c r="E18" s="27"/>
      <c r="F18" s="42"/>
      <c r="G18" s="43"/>
      <c r="H18" s="41" t="s">
        <v>21</v>
      </c>
      <c r="I18" s="32">
        <f>IFERROR(AVERAGEIF(I8:I17, "&lt;&gt;0"),"")</f>
        <v>156.69999999999999</v>
      </c>
      <c r="J18" s="32">
        <f>IFERROR(AVERAGEIF(J8:J17, "&lt;&gt;0"),"")</f>
        <v>157.55000000000001</v>
      </c>
      <c r="K18" s="30">
        <f>IFERROR(AVERAGEIF(K8:K15, "&lt;&gt;0"),"")</f>
        <v>0.84999999999999432</v>
      </c>
      <c r="L18" s="31">
        <f>IFERROR(MROUND(AVERAGEIF(L8:L17, "&lt;&gt;0"),0.001),"")</f>
        <v>1.01</v>
      </c>
      <c r="M18" s="92"/>
      <c r="N18" s="8"/>
      <c r="O18" s="8"/>
    </row>
    <row r="19" spans="1:17" ht="14.4" customHeight="1" x14ac:dyDescent="0.3">
      <c r="A19" s="110"/>
      <c r="B19" s="71" t="s">
        <v>22</v>
      </c>
      <c r="C19" s="72"/>
      <c r="D19" s="72"/>
      <c r="E19" s="72"/>
      <c r="F19" s="72"/>
      <c r="G19" s="75" t="s">
        <v>23</v>
      </c>
      <c r="H19" s="75"/>
      <c r="I19" s="132"/>
      <c r="J19" s="133"/>
      <c r="K19" s="133"/>
      <c r="L19" s="134"/>
      <c r="M19" s="92"/>
      <c r="N19" s="8"/>
      <c r="O19" s="8"/>
    </row>
    <row r="20" spans="1:17" ht="15" customHeight="1" thickBot="1" x14ac:dyDescent="0.35">
      <c r="A20" s="110"/>
      <c r="B20" s="73"/>
      <c r="C20" s="74"/>
      <c r="D20" s="74"/>
      <c r="E20" s="74"/>
      <c r="F20" s="74"/>
      <c r="G20" s="84" t="s">
        <v>25</v>
      </c>
      <c r="H20" s="84"/>
      <c r="I20" s="135"/>
      <c r="J20" s="136"/>
      <c r="K20" s="136"/>
      <c r="L20" s="137"/>
      <c r="M20" s="92"/>
      <c r="N20" s="8"/>
      <c r="O20" s="8"/>
    </row>
    <row r="21" spans="1:17" x14ac:dyDescent="0.3">
      <c r="A21" s="110"/>
      <c r="B21" s="53" t="s">
        <v>26</v>
      </c>
      <c r="C21" s="54"/>
      <c r="D21" s="54"/>
      <c r="E21" s="54"/>
      <c r="F21" s="54"/>
      <c r="G21" s="54"/>
      <c r="H21" s="54"/>
      <c r="I21" s="54"/>
      <c r="J21" s="54"/>
      <c r="K21" s="54"/>
      <c r="L21" s="55"/>
      <c r="M21" s="92"/>
      <c r="N21" s="8"/>
      <c r="O21" s="8"/>
    </row>
    <row r="22" spans="1:17" x14ac:dyDescent="0.3">
      <c r="A22" s="110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8"/>
      <c r="M22" s="92"/>
      <c r="N22" s="8"/>
      <c r="O22" s="8"/>
    </row>
    <row r="23" spans="1:17" x14ac:dyDescent="0.3">
      <c r="A23" s="110"/>
      <c r="B23" s="59"/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92"/>
      <c r="N23" s="8"/>
      <c r="O23" s="8"/>
    </row>
    <row r="24" spans="1:17" x14ac:dyDescent="0.3">
      <c r="A24" s="110"/>
      <c r="B24" s="62"/>
      <c r="C24" s="63"/>
      <c r="D24" s="63"/>
      <c r="E24" s="63"/>
      <c r="F24" s="63"/>
      <c r="G24" s="63"/>
      <c r="H24" s="63"/>
      <c r="I24" s="63"/>
      <c r="J24" s="63"/>
      <c r="K24" s="63"/>
      <c r="L24" s="64"/>
      <c r="M24" s="92"/>
      <c r="N24" s="8"/>
      <c r="O24" s="8"/>
    </row>
    <row r="25" spans="1:17" ht="14.4" customHeight="1" x14ac:dyDescent="0.3">
      <c r="A25" s="110"/>
      <c r="B25" s="129" t="s">
        <v>35</v>
      </c>
      <c r="C25" s="130"/>
      <c r="D25" s="131"/>
      <c r="E25" s="37" t="s">
        <v>37</v>
      </c>
      <c r="F25" s="58"/>
      <c r="G25" s="111" t="s">
        <v>29</v>
      </c>
      <c r="H25" s="111"/>
      <c r="I25" s="112"/>
      <c r="J25" s="104"/>
      <c r="K25" s="105"/>
      <c r="L25" s="106"/>
      <c r="M25" s="92"/>
      <c r="N25" s="8"/>
      <c r="O25" s="8"/>
    </row>
    <row r="26" spans="1:17" ht="14.4" customHeight="1" x14ac:dyDescent="0.3">
      <c r="A26" s="110"/>
      <c r="B26" s="33">
        <f>B8</f>
        <v>1</v>
      </c>
      <c r="C26" s="120"/>
      <c r="D26" s="121"/>
      <c r="E26" s="38" t="s">
        <v>41</v>
      </c>
      <c r="F26" s="61"/>
      <c r="G26" s="113"/>
      <c r="H26" s="113"/>
      <c r="I26" s="114"/>
      <c r="J26" s="107"/>
      <c r="K26" s="108"/>
      <c r="L26" s="109"/>
      <c r="M26" s="92"/>
      <c r="N26" s="8"/>
      <c r="O26" s="8"/>
    </row>
    <row r="27" spans="1:17" x14ac:dyDescent="0.3">
      <c r="A27" s="110"/>
      <c r="B27" s="33">
        <f t="shared" ref="B27:B35" si="4">B9</f>
        <v>2</v>
      </c>
      <c r="C27" s="120"/>
      <c r="D27" s="121"/>
      <c r="E27" s="38"/>
      <c r="F27" s="61"/>
      <c r="G27" s="117" t="s">
        <v>38</v>
      </c>
      <c r="H27" s="118"/>
      <c r="I27" s="119"/>
      <c r="J27" s="56"/>
      <c r="K27" s="57"/>
      <c r="L27" s="58"/>
      <c r="M27" s="92"/>
      <c r="N27" s="8"/>
      <c r="O27" s="8"/>
    </row>
    <row r="28" spans="1:17" x14ac:dyDescent="0.3">
      <c r="A28" s="110"/>
      <c r="B28" s="33" t="str">
        <f t="shared" si="4"/>
        <v/>
      </c>
      <c r="C28" s="120"/>
      <c r="D28" s="121"/>
      <c r="E28" s="38"/>
      <c r="F28" s="61"/>
      <c r="G28" s="104"/>
      <c r="H28" s="105"/>
      <c r="I28" s="106"/>
      <c r="J28" s="62"/>
      <c r="K28" s="63"/>
      <c r="L28" s="64"/>
      <c r="M28" s="92"/>
      <c r="N28" s="8"/>
      <c r="O28" s="8"/>
    </row>
    <row r="29" spans="1:17" x14ac:dyDescent="0.3">
      <c r="A29" s="110"/>
      <c r="B29" s="33" t="str">
        <f t="shared" si="4"/>
        <v/>
      </c>
      <c r="C29" s="120"/>
      <c r="D29" s="121"/>
      <c r="E29" s="38"/>
      <c r="F29" s="61"/>
      <c r="G29" s="115"/>
      <c r="H29" s="110"/>
      <c r="I29" s="116"/>
      <c r="J29" s="44"/>
      <c r="K29" s="45"/>
      <c r="L29" s="46"/>
      <c r="M29" s="92"/>
      <c r="N29" s="8"/>
      <c r="O29" s="8"/>
    </row>
    <row r="30" spans="1:17" x14ac:dyDescent="0.3">
      <c r="A30" s="110"/>
      <c r="B30" s="33" t="str">
        <f t="shared" si="4"/>
        <v/>
      </c>
      <c r="C30" s="120"/>
      <c r="D30" s="121"/>
      <c r="E30" s="38"/>
      <c r="F30" s="61"/>
      <c r="G30" s="35" t="s">
        <v>39</v>
      </c>
      <c r="H30" s="102"/>
      <c r="I30" s="103"/>
      <c r="J30" s="47"/>
      <c r="K30" s="48"/>
      <c r="L30" s="49"/>
      <c r="M30" s="92"/>
      <c r="N30" s="8"/>
      <c r="O30" s="8"/>
    </row>
    <row r="31" spans="1:17" x14ac:dyDescent="0.3">
      <c r="A31" s="110"/>
      <c r="B31" s="33" t="str">
        <f t="shared" si="4"/>
        <v/>
      </c>
      <c r="C31" s="120"/>
      <c r="D31" s="121"/>
      <c r="E31" s="38"/>
      <c r="F31" s="61"/>
      <c r="G31" s="36" t="s">
        <v>40</v>
      </c>
      <c r="H31" s="102"/>
      <c r="I31" s="103"/>
      <c r="J31" s="47"/>
      <c r="K31" s="48"/>
      <c r="L31" s="49"/>
      <c r="M31" s="92"/>
      <c r="N31" s="8"/>
      <c r="O31" s="8"/>
    </row>
    <row r="32" spans="1:17" x14ac:dyDescent="0.3">
      <c r="A32" s="110"/>
      <c r="B32" s="33" t="str">
        <f t="shared" si="4"/>
        <v/>
      </c>
      <c r="C32" s="120"/>
      <c r="D32" s="121"/>
      <c r="E32" s="38"/>
      <c r="F32" s="61"/>
      <c r="G32" s="36" t="str">
        <f>IF(C10="","","Lab#s (3,4)")</f>
        <v/>
      </c>
      <c r="H32" s="102"/>
      <c r="I32" s="103"/>
      <c r="J32" s="47"/>
      <c r="K32" s="48"/>
      <c r="L32" s="49"/>
      <c r="M32" s="92"/>
      <c r="N32" s="8"/>
      <c r="O32" s="8"/>
    </row>
    <row r="33" spans="1:15" x14ac:dyDescent="0.3">
      <c r="A33" s="110"/>
      <c r="B33" s="33" t="str">
        <f t="shared" si="4"/>
        <v/>
      </c>
      <c r="C33" s="120"/>
      <c r="D33" s="121"/>
      <c r="E33" s="38"/>
      <c r="F33" s="61"/>
      <c r="G33" s="36" t="str">
        <f>IF(C12="","","Lab#s (5,6)")</f>
        <v/>
      </c>
      <c r="H33" s="102"/>
      <c r="I33" s="103"/>
      <c r="J33" s="47"/>
      <c r="K33" s="48"/>
      <c r="L33" s="49"/>
      <c r="M33" s="92"/>
      <c r="N33" s="8"/>
      <c r="O33" s="8"/>
    </row>
    <row r="34" spans="1:15" x14ac:dyDescent="0.3">
      <c r="A34" s="110"/>
      <c r="B34" s="33" t="str">
        <f t="shared" si="4"/>
        <v/>
      </c>
      <c r="C34" s="120"/>
      <c r="D34" s="121"/>
      <c r="E34" s="38"/>
      <c r="F34" s="61"/>
      <c r="G34" s="36" t="str">
        <f>IF(C14="","","Lab#s (7,8)")</f>
        <v/>
      </c>
      <c r="H34" s="102"/>
      <c r="I34" s="103"/>
      <c r="J34" s="47"/>
      <c r="K34" s="48"/>
      <c r="L34" s="49"/>
      <c r="M34" s="92"/>
      <c r="N34" s="8"/>
      <c r="O34" s="8"/>
    </row>
    <row r="35" spans="1:15" x14ac:dyDescent="0.3">
      <c r="A35" s="110"/>
      <c r="B35" s="33" t="str">
        <f t="shared" si="4"/>
        <v/>
      </c>
      <c r="C35" s="120"/>
      <c r="D35" s="121"/>
      <c r="E35" s="38"/>
      <c r="F35" s="64"/>
      <c r="G35" s="39" t="str">
        <f>IF(C16="","","Lab#s (9,10)")</f>
        <v/>
      </c>
      <c r="H35" s="102"/>
      <c r="I35" s="103"/>
      <c r="J35" s="50"/>
      <c r="K35" s="51"/>
      <c r="L35" s="52"/>
      <c r="M35" s="92"/>
      <c r="N35" s="8"/>
      <c r="O35" s="8"/>
    </row>
    <row r="36" spans="1:15" ht="3" customHeight="1" x14ac:dyDescent="0.3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</row>
  </sheetData>
  <protectedRanges>
    <protectedRange algorithmName="SHA-512" hashValue="ct/z4c6ed8Q6M61xtvUUlzZXm/S+tpV4v4TiO7uW8Fe0q5ULyM761CDQgPpGXqZMsGb6Zf5+hzXF04f2TnVulQ==" saltValue="8oj1eTQi1Ub/XY19++VK/A==" spinCount="100000" sqref="B6:L6 K3 H2:H3 B3:E3 B22:E22 J29 F8:J17" name="Range2"/>
  </protectedRanges>
  <mergeCells count="65">
    <mergeCell ref="F4:L4"/>
    <mergeCell ref="B5:F5"/>
    <mergeCell ref="B6:F6"/>
    <mergeCell ref="B1:L1"/>
    <mergeCell ref="B2:F2"/>
    <mergeCell ref="B3:F3"/>
    <mergeCell ref="H3:I3"/>
    <mergeCell ref="K3:L3"/>
    <mergeCell ref="J29:L35"/>
    <mergeCell ref="D8:D9"/>
    <mergeCell ref="D10:D11"/>
    <mergeCell ref="D12:D13"/>
    <mergeCell ref="D14:D15"/>
    <mergeCell ref="E8:E9"/>
    <mergeCell ref="E10:E11"/>
    <mergeCell ref="E12:E13"/>
    <mergeCell ref="E14:E15"/>
    <mergeCell ref="L8:L9"/>
    <mergeCell ref="B21:L21"/>
    <mergeCell ref="B22:L24"/>
    <mergeCell ref="B19:F20"/>
    <mergeCell ref="G19:H19"/>
    <mergeCell ref="G20:H20"/>
    <mergeCell ref="L10:L11"/>
    <mergeCell ref="L12:L13"/>
    <mergeCell ref="L14:L15"/>
    <mergeCell ref="L16:L17"/>
    <mergeCell ref="C8:C9"/>
    <mergeCell ref="C10:C11"/>
    <mergeCell ref="C12:C13"/>
    <mergeCell ref="C14:C15"/>
    <mergeCell ref="C16:C17"/>
    <mergeCell ref="D16:D17"/>
    <mergeCell ref="M1:M35"/>
    <mergeCell ref="B36:M36"/>
    <mergeCell ref="H30:I30"/>
    <mergeCell ref="G25:I26"/>
    <mergeCell ref="G28:I29"/>
    <mergeCell ref="G27:I27"/>
    <mergeCell ref="H31:I31"/>
    <mergeCell ref="H32:I32"/>
    <mergeCell ref="H33:I33"/>
    <mergeCell ref="H34:I34"/>
    <mergeCell ref="C34:D34"/>
    <mergeCell ref="C35:D35"/>
    <mergeCell ref="C28:D28"/>
    <mergeCell ref="C29:D29"/>
    <mergeCell ref="C30:D30"/>
    <mergeCell ref="C31:D31"/>
    <mergeCell ref="H35:I35"/>
    <mergeCell ref="J25:L26"/>
    <mergeCell ref="J27:L28"/>
    <mergeCell ref="F25:F35"/>
    <mergeCell ref="A1:A36"/>
    <mergeCell ref="C32:D32"/>
    <mergeCell ref="C33:D33"/>
    <mergeCell ref="E16:E17"/>
    <mergeCell ref="G2:I2"/>
    <mergeCell ref="B4:E4"/>
    <mergeCell ref="B25:D25"/>
    <mergeCell ref="C26:D26"/>
    <mergeCell ref="C27:D27"/>
    <mergeCell ref="I19:L20"/>
    <mergeCell ref="I5:L5"/>
    <mergeCell ref="I6:L6"/>
  </mergeCells>
  <conditionalFormatting sqref="E14 E16">
    <cfRule type="expression" dxfId="9" priority="24">
      <formula>"l8&gt;=3"</formula>
    </cfRule>
    <cfRule type="expression" dxfId="8" priority="25">
      <formula>$L$8=0</formula>
    </cfRule>
  </conditionalFormatting>
  <conditionalFormatting sqref="G19:G20">
    <cfRule type="containsText" dxfId="7" priority="38" operator="containsText" text="Does not meet design thickness">
      <formula>NOT(ISERROR(SEARCH("Does not meet design thickness",G19)))</formula>
    </cfRule>
  </conditionalFormatting>
  <conditionalFormatting sqref="H8:H17">
    <cfRule type="expression" dxfId="6" priority="1">
      <formula>Q8="FAIL"</formula>
    </cfRule>
  </conditionalFormatting>
  <conditionalFormatting sqref="L8 L10 L12 L14">
    <cfRule type="cellIs" dxfId="5" priority="36" operator="equal">
      <formula>0</formula>
    </cfRule>
  </conditionalFormatting>
  <conditionalFormatting sqref="L10">
    <cfRule type="expression" dxfId="4" priority="17">
      <formula>"l8&gt;=3"</formula>
    </cfRule>
  </conditionalFormatting>
  <conditionalFormatting sqref="L12">
    <cfRule type="expression" dxfId="3" priority="16">
      <formula>"l8&gt;=3"</formula>
    </cfRule>
  </conditionalFormatting>
  <conditionalFormatting sqref="L14">
    <cfRule type="expression" dxfId="2" priority="15">
      <formula>"l8&gt;=3"</formula>
    </cfRule>
  </conditionalFormatting>
  <conditionalFormatting sqref="L16">
    <cfRule type="expression" dxfId="1" priority="13">
      <formula>"l8&gt;=3"</formula>
    </cfRule>
    <cfRule type="cellIs" dxfId="0" priority="14" operator="equal">
      <formula>0</formula>
    </cfRule>
  </conditionalFormatting>
  <dataValidations disablePrompts="1" count="1">
    <dataValidation type="list" allowBlank="1" showInputMessage="1" showErrorMessage="1" sqref="G6" xr:uid="{231B26DD-EBDD-426B-AECA-F11F4AA81CCC}">
      <formula1>"2C, 2F, TYPE 3"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518160</xdr:colOff>
                    <xdr:row>0</xdr:row>
                    <xdr:rowOff>190500</xdr:rowOff>
                  </from>
                  <to>
                    <xdr:col>10</xdr:col>
                    <xdr:colOff>99060</xdr:colOff>
                    <xdr:row>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518160</xdr:colOff>
                    <xdr:row>1</xdr:row>
                    <xdr:rowOff>15240</xdr:rowOff>
                  </from>
                  <to>
                    <xdr:col>11</xdr:col>
                    <xdr:colOff>228600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7-core</vt:lpstr>
      <vt:lpstr>2-core Daily</vt:lpstr>
      <vt:lpstr>'2-core Daily'!Print_Area</vt:lpstr>
    </vt:vector>
  </TitlesOfParts>
  <Company>Clark County Nevada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Warnke</dc:creator>
  <cp:lastModifiedBy>Nicholas Warnke</cp:lastModifiedBy>
  <dcterms:created xsi:type="dcterms:W3CDTF">2026-09-29T21:27:52Z</dcterms:created>
  <dcterms:modified xsi:type="dcterms:W3CDTF">2026-09-29T22:47:46Z</dcterms:modified>
</cp:coreProperties>
</file>